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Materials Cost Worksheet" sheetId="1" r:id="rId1"/>
    <sheet name="Materials Price List" sheetId="2" r:id="rId2"/>
    <sheet name="Sheet3" sheetId="3" r:id="rId3"/>
  </sheets>
  <definedNames>
    <definedName name="price_table">'Materials Price List'!$C$7:$G$78</definedName>
  </definedNames>
  <calcPr fullCalcOnLoad="1"/>
</workbook>
</file>

<file path=xl/sharedStrings.xml><?xml version="1.0" encoding="utf-8"?>
<sst xmlns="http://schemas.openxmlformats.org/spreadsheetml/2006/main" count="308" uniqueCount="208">
  <si>
    <t>Description</t>
  </si>
  <si>
    <t>Dimensions</t>
  </si>
  <si>
    <t>Price</t>
  </si>
  <si>
    <t>Cottage Type</t>
  </si>
  <si>
    <t>Width</t>
  </si>
  <si>
    <t>Wall</t>
  </si>
  <si>
    <t>Roof</t>
  </si>
  <si>
    <t>sq ft</t>
  </si>
  <si>
    <t>Category</t>
  </si>
  <si>
    <t>Price w tax</t>
  </si>
  <si>
    <t>Price/sq ft</t>
  </si>
  <si>
    <t>Exterior Siding</t>
  </si>
  <si>
    <t>T1-11</t>
  </si>
  <si>
    <t>19/32" x 4' x 8'</t>
  </si>
  <si>
    <t>Cedar lap siding</t>
  </si>
  <si>
    <t>7/16" x 4' x 8'</t>
  </si>
  <si>
    <t>7/16" x 1' x 12'</t>
  </si>
  <si>
    <t>Interior Siding</t>
  </si>
  <si>
    <t>Drywall</t>
  </si>
  <si>
    <t>1/2" x 4' x 8'</t>
  </si>
  <si>
    <t>1/8" x 4' x 8'</t>
  </si>
  <si>
    <t>Wood panelling - Pine</t>
  </si>
  <si>
    <t>Wood panelling - Premium Pine</t>
  </si>
  <si>
    <t>Select Knotting Pine Boards</t>
  </si>
  <si>
    <t>Knoting Pine Boards</t>
  </si>
  <si>
    <t>Cottage Grade Pine Boards</t>
  </si>
  <si>
    <t>7/16" x 5 5/16" x 8'</t>
  </si>
  <si>
    <t>5/16" x 3 9/16" x 8'</t>
  </si>
  <si>
    <t>Smart Panel II</t>
  </si>
  <si>
    <t>3/8" x 4' x 8'</t>
  </si>
  <si>
    <t>Plywood</t>
  </si>
  <si>
    <t>5/8" x 4' x 8'</t>
  </si>
  <si>
    <t>5/8" T&amp;G sheathing</t>
  </si>
  <si>
    <t>5/8" T&amp;G OSB</t>
  </si>
  <si>
    <t>3/4" T&amp;G OSB</t>
  </si>
  <si>
    <t>1/2" Spruce Plywood</t>
  </si>
  <si>
    <t>3/8" Spruce Plywood</t>
  </si>
  <si>
    <t>3/4" x 4' x 8'</t>
  </si>
  <si>
    <t>3/4" Spruce Plywood</t>
  </si>
  <si>
    <t>Plywwod</t>
  </si>
  <si>
    <t>7/16" OSB</t>
  </si>
  <si>
    <t>Lumber</t>
  </si>
  <si>
    <t>2 x 6 12 ft</t>
  </si>
  <si>
    <t>1 1/2" x 5 1/2" x 12'</t>
  </si>
  <si>
    <t>2 x 6 8 ft</t>
  </si>
  <si>
    <t>Insulation</t>
  </si>
  <si>
    <t>R12 Fiberglass- 3 1/2" 2x4</t>
  </si>
  <si>
    <t>88 sq. ft.</t>
  </si>
  <si>
    <t>R20 FiberGlass - 6" 2 x 6</t>
  </si>
  <si>
    <t>49 sq. ft.</t>
  </si>
  <si>
    <t>R21.5 FlexiBatt - 5 1/2" 2 x 6</t>
  </si>
  <si>
    <t>40 sq. ft.</t>
  </si>
  <si>
    <t>R31 FiberGlass - 9 1/4" 2 x 10</t>
  </si>
  <si>
    <t>64 sq. ft.</t>
  </si>
  <si>
    <t>Roofing</t>
  </si>
  <si>
    <t>Asphaslt shingles 25 year</t>
  </si>
  <si>
    <t>32.3 sq. ft.</t>
  </si>
  <si>
    <t>Ice &amp; Water Shield</t>
  </si>
  <si>
    <t>195 sq. ft.</t>
  </si>
  <si>
    <t>#15 Roofing Felt</t>
  </si>
  <si>
    <t>430 sq. ft.</t>
  </si>
  <si>
    <t>Asphalt Roll roofing ( Slate Sur. )</t>
  </si>
  <si>
    <t>108 sq. ft.</t>
  </si>
  <si>
    <t>Cat #</t>
  </si>
  <si>
    <t>20' x 30' with 12' walls and 12:12 roof</t>
  </si>
  <si>
    <t>Pitch</t>
  </si>
  <si>
    <t>Main Flr</t>
  </si>
  <si>
    <t>2nd Flr</t>
  </si>
  <si>
    <t>Main Floor Sheathing</t>
  </si>
  <si>
    <t>2nd Flr Sheathing</t>
  </si>
  <si>
    <t xml:space="preserve">Roof </t>
  </si>
  <si>
    <t>Exterior Wall Siding</t>
  </si>
  <si>
    <t>Interior Wall Siding</t>
  </si>
  <si>
    <t>Interior Roof Siding</t>
  </si>
  <si>
    <t>Main Floor Insulation</t>
  </si>
  <si>
    <t>Walls Insulation</t>
  </si>
  <si>
    <t>Roof Insulation</t>
  </si>
  <si>
    <t>Roofing Material</t>
  </si>
  <si>
    <t>Roofing Felt</t>
  </si>
  <si>
    <t>Walls Sheathing</t>
  </si>
  <si>
    <t>Roof Sheathing</t>
  </si>
  <si>
    <t>Total ( incl. Taxes )</t>
  </si>
  <si>
    <t>add 10%:</t>
  </si>
  <si>
    <t>Floors</t>
  </si>
  <si>
    <t>Exterior Sheathing</t>
  </si>
  <si>
    <t>Studs</t>
  </si>
  <si>
    <t>16" OC</t>
  </si>
  <si>
    <t>Joists</t>
  </si>
  <si>
    <t>Rafters</t>
  </si>
  <si>
    <t>Main Floor Joists</t>
  </si>
  <si>
    <t>2nd Floor Joists</t>
  </si>
  <si>
    <t>Roof Rafters</t>
  </si>
  <si>
    <t>Framing Lumber</t>
  </si>
  <si>
    <t>?</t>
  </si>
  <si>
    <t>Post &amp; Pier Foundation</t>
  </si>
  <si>
    <t>Windows</t>
  </si>
  <si>
    <t>Composting Toilet</t>
  </si>
  <si>
    <t>Foundation Beams</t>
  </si>
  <si>
    <t>estimate only</t>
  </si>
  <si>
    <t>24"OC</t>
  </si>
  <si>
    <t>12" OC</t>
  </si>
  <si>
    <t>2 x 10 14 ft</t>
  </si>
  <si>
    <t>2 x 12 20 ft</t>
  </si>
  <si>
    <t>1 1/2" x 9 1/2" x 14'</t>
  </si>
  <si>
    <t>1 1/2" x 11 1/2" x 20'</t>
  </si>
  <si>
    <t>Eng. I-Joist  TJI150 11 7/8"</t>
  </si>
  <si>
    <t>1.5"x1.5" x11 7/8" x 20'</t>
  </si>
  <si>
    <t>Eng. I-Joist  TJI250 11 7/8"</t>
  </si>
  <si>
    <t>1.5"x1.75" x11 7/8" x 20'</t>
  </si>
  <si>
    <t>Eng. I-Joist  TJI350 11 7/8"</t>
  </si>
  <si>
    <t>1.5"x2.3" x11 7/8" x 20'</t>
  </si>
  <si>
    <t>Eng. I-Joist  TJI550 11 7/8"</t>
  </si>
  <si>
    <t>1.5"x3.5" x11 7/8" x 20'</t>
  </si>
  <si>
    <t>2 x 12 16 ft</t>
  </si>
  <si>
    <t>1 1/2" x 11 1/2" x 16'</t>
  </si>
  <si>
    <t>2 x 12 18 ft</t>
  </si>
  <si>
    <t>1 1/2" x 11 1/2" x 18'</t>
  </si>
  <si>
    <t>2 x 10 10 ft</t>
  </si>
  <si>
    <t>1 1/2" x 9 1/2" x 10'</t>
  </si>
  <si>
    <t>2 x 10 12 ft</t>
  </si>
  <si>
    <t>1 1/2" x 9 1/2" x 12'</t>
  </si>
  <si>
    <t>2 x 12 10 ft</t>
  </si>
  <si>
    <t>1 1/2" x 11 1/2" x 10'</t>
  </si>
  <si>
    <t>2 x 12 12 ft</t>
  </si>
  <si>
    <t>1 1/2" x 11 1/2" x 12'</t>
  </si>
  <si>
    <t>2 x 12 14 ft</t>
  </si>
  <si>
    <t>1 1/2" x 11 1/2" x 14'</t>
  </si>
  <si>
    <t>Plumbing</t>
  </si>
  <si>
    <t>SunMar Composting Toilet</t>
  </si>
  <si>
    <t>Excel High Cap Electric</t>
  </si>
  <si>
    <t>Doors</t>
  </si>
  <si>
    <t>Outside Doors</t>
  </si>
  <si>
    <t>PVC Patio Door</t>
  </si>
  <si>
    <t>70 7/8" W x 79.5" H</t>
  </si>
  <si>
    <t>added 10% for low E</t>
  </si>
  <si>
    <t>PVC French Patio Door</t>
  </si>
  <si>
    <t>71 1/4" W x 79.5" H</t>
  </si>
  <si>
    <t>Steel Front Door - no window</t>
  </si>
  <si>
    <t>Endurance B01</t>
  </si>
  <si>
    <t>Steel Front Door - top window</t>
  </si>
  <si>
    <t>Endurance B06</t>
  </si>
  <si>
    <t>Screen Door</t>
  </si>
  <si>
    <t>31 5/8" x 15 1/8"</t>
  </si>
  <si>
    <t>31 5/8" x 23"</t>
  </si>
  <si>
    <t>31 5/8" x 30 7/8"</t>
  </si>
  <si>
    <t>35 9/16" x 34 13/16"</t>
  </si>
  <si>
    <t>47 3/8" x 30 7/8"</t>
  </si>
  <si>
    <t>47 3/8" x 38 3/4"</t>
  </si>
  <si>
    <t>36" x 36"</t>
  </si>
  <si>
    <t>48" x 36"</t>
  </si>
  <si>
    <t>25 1/8" x 38"</t>
  </si>
  <si>
    <t>25 1/8" x 44 5/8"</t>
  </si>
  <si>
    <t>44 13/16" x 38"</t>
  </si>
  <si>
    <t>50 1/4" x 44 5/8"</t>
  </si>
  <si>
    <t>47 3/8" x 46 5/8"</t>
  </si>
  <si>
    <t>2 large sliders for front - main flr</t>
  </si>
  <si>
    <t>1 large sider for 1 side - main flr</t>
  </si>
  <si>
    <t>1 medium slider for back - main flr</t>
  </si>
  <si>
    <t>1 small/medium slider for each bedroom</t>
  </si>
  <si>
    <t>PVC Patio Doors for front</t>
  </si>
  <si>
    <t>1 Front Door - Steel no window</t>
  </si>
  <si>
    <t>1 Screen Door for front door</t>
  </si>
  <si>
    <t>? - UNKNOWN STILL</t>
  </si>
  <si>
    <t>1 small slider for bathroom - main flr</t>
  </si>
  <si>
    <t>Ext. Wall</t>
  </si>
  <si>
    <t>Int. Wall</t>
  </si>
  <si>
    <t>1st Flr</t>
  </si>
  <si>
    <t>Attic</t>
  </si>
  <si>
    <t>Wall Hgt</t>
  </si>
  <si>
    <t>Fin. Sq ft</t>
  </si>
  <si>
    <t>Attic Joists</t>
  </si>
  <si>
    <t>24" OC</t>
  </si>
  <si>
    <t>Attic Sheathing</t>
  </si>
  <si>
    <t>1st Floor Ceiling</t>
  </si>
  <si>
    <t>2nd Floor Ceiling</t>
  </si>
  <si>
    <t>1 medium sliders for kitchen - main flr</t>
  </si>
  <si>
    <t>part. Walls</t>
  </si>
  <si>
    <t>lin ft</t>
  </si>
  <si>
    <t>part walls</t>
  </si>
  <si>
    <t>Internal Partion Wall Studs</t>
  </si>
  <si>
    <t>Internal Partion Wall Siding</t>
  </si>
  <si>
    <t>Internal Partion Walls</t>
  </si>
  <si>
    <t>Internal room doors</t>
  </si>
  <si>
    <t>2 x 4 8 ft</t>
  </si>
  <si>
    <t>2 x 4 12 ft</t>
  </si>
  <si>
    <t>1 1/2" x 3 1/2" x 8'</t>
  </si>
  <si>
    <t>1 1/2" x 3 1/2" x 12'</t>
  </si>
  <si>
    <t>1 1/2" x 5 1/2" x 8'</t>
  </si>
  <si>
    <t>2 x 8 12 ft</t>
  </si>
  <si>
    <t>1 1/2" x 7 1/2" x 12'</t>
  </si>
  <si>
    <t>Hardi Panel Fiber Panel Siding</t>
  </si>
  <si>
    <t>Hardi Fiber Lap siding</t>
  </si>
  <si>
    <t>Vinyl Slider 31 5/8" x 15 1/8", 4 9/16"</t>
  </si>
  <si>
    <t>Vinyl Slider 31 5/8" x 23", 4 9/16"</t>
  </si>
  <si>
    <t>Vinyl Slider 31 5/8" x 30 7/8", 4 9/16"</t>
  </si>
  <si>
    <t>Vinyl Slider 35 9/16" x 34 13/16", 4 9/16"</t>
  </si>
  <si>
    <t>Vinyl Slider 47 3/8" x 30 7/8", 4 9/16"</t>
  </si>
  <si>
    <t>Vinyl Slider 47 3/8" x 38 3/4", 4 9/16"</t>
  </si>
  <si>
    <t>Vinyl Slider 47 3/8" x 46 5/8", 4 9/16"</t>
  </si>
  <si>
    <t>ALL Vinyl Slider 36" x 36", 3 1/4"</t>
  </si>
  <si>
    <t>ALL Vinyl Slider 48" x 36", 3 1/4"</t>
  </si>
  <si>
    <t>PVC Casement - Sgl - 25 1/8" x 38", 3 1/4"</t>
  </si>
  <si>
    <t>PVC Casement - Sgl - 25 1/8" x44 5/8" , 3 1/4"</t>
  </si>
  <si>
    <t>PVC Casement - Dbl - 44 13/16" x 38" , 3 1/4"</t>
  </si>
  <si>
    <t>PVC Casement - Dbl - 50 1/4" x 44 5/8" ,  3 1/4"</t>
  </si>
  <si>
    <t>Length</t>
  </si>
  <si>
    <t>Materials Cost Estimator</t>
  </si>
  <si>
    <t>Donated by a CountryPlans.com member - updated versions can be shared with others by emailing to estimator@countryplans.com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</si>
</sst>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i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8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0"/>
  <sheetViews>
    <sheetView tabSelected="1" workbookViewId="0" topLeftCell="A1">
      <pane xSplit="14976" topLeftCell="T1" activePane="topLeft" state="split"/>
      <selection pane="topLeft" activeCell="A1" sqref="A1"/>
      <selection pane="topRight" activeCell="T1" sqref="T1"/>
    </sheetView>
  </sheetViews>
  <sheetFormatPr defaultColWidth="9.140625" defaultRowHeight="12.75"/>
  <cols>
    <col min="1" max="1" width="3.7109375" style="0" customWidth="1"/>
    <col min="2" max="2" width="39.421875" style="0" customWidth="1"/>
    <col min="3" max="3" width="25.8515625" style="0" customWidth="1"/>
    <col min="4" max="4" width="11.28125" style="3" customWidth="1"/>
    <col min="5" max="6" width="10.00390625" style="5" customWidth="1"/>
    <col min="7" max="7" width="7.00390625" style="5" customWidth="1"/>
    <col min="8" max="8" width="2.00390625" style="5" customWidth="1"/>
    <col min="13" max="13" width="11.28125" style="0" customWidth="1"/>
    <col min="14" max="15" width="11.140625" style="5" customWidth="1"/>
    <col min="16" max="16" width="11.00390625" style="0" customWidth="1"/>
    <col min="17" max="17" width="9.7109375" style="7" customWidth="1"/>
    <col min="18" max="20" width="9.140625" style="7" customWidth="1"/>
    <col min="21" max="21" width="11.421875" style="7" customWidth="1"/>
    <col min="22" max="22" width="10.57421875" style="7" customWidth="1"/>
  </cols>
  <sheetData>
    <row r="1" spans="2:22" ht="17.25">
      <c r="B1" s="43" t="s">
        <v>206</v>
      </c>
      <c r="C1" t="s">
        <v>207</v>
      </c>
      <c r="P1" s="1" t="s">
        <v>5</v>
      </c>
      <c r="Q1" s="1" t="s">
        <v>66</v>
      </c>
      <c r="R1" s="1" t="s">
        <v>67</v>
      </c>
      <c r="S1" s="1" t="s">
        <v>167</v>
      </c>
      <c r="T1" s="1" t="s">
        <v>70</v>
      </c>
      <c r="U1" s="1" t="s">
        <v>166</v>
      </c>
      <c r="V1" s="1" t="s">
        <v>67</v>
      </c>
    </row>
    <row r="2" spans="2:22" ht="17.25">
      <c r="B2" s="43"/>
      <c r="P2" s="1"/>
      <c r="Q2" s="1"/>
      <c r="R2" s="1"/>
      <c r="S2" s="1"/>
      <c r="T2" s="1"/>
      <c r="U2" s="1"/>
      <c r="V2" s="1"/>
    </row>
    <row r="3" spans="4:22" s="1" customFormat="1" ht="12.75">
      <c r="D3" s="2"/>
      <c r="E3" s="4"/>
      <c r="F3" s="4"/>
      <c r="G3" s="4" t="s">
        <v>6</v>
      </c>
      <c r="H3" s="4"/>
      <c r="I3" s="1" t="s">
        <v>66</v>
      </c>
      <c r="J3" s="1" t="s">
        <v>67</v>
      </c>
      <c r="K3" s="1" t="s">
        <v>167</v>
      </c>
      <c r="L3" s="1" t="s">
        <v>165</v>
      </c>
      <c r="M3" s="1" t="s">
        <v>164</v>
      </c>
      <c r="N3" s="4" t="s">
        <v>6</v>
      </c>
      <c r="O3" s="4" t="s">
        <v>6</v>
      </c>
      <c r="P3" s="1" t="s">
        <v>85</v>
      </c>
      <c r="Q3" s="1" t="s">
        <v>87</v>
      </c>
      <c r="R3" s="1" t="s">
        <v>87</v>
      </c>
      <c r="S3" s="1" t="s">
        <v>87</v>
      </c>
      <c r="T3" s="1" t="s">
        <v>88</v>
      </c>
      <c r="U3" s="1" t="s">
        <v>176</v>
      </c>
      <c r="V3" s="1" t="s">
        <v>178</v>
      </c>
    </row>
    <row r="4" spans="2:22" s="1" customFormat="1" ht="12.75">
      <c r="B4" s="1" t="s">
        <v>3</v>
      </c>
      <c r="C4" s="1" t="s">
        <v>205</v>
      </c>
      <c r="D4" s="2" t="s">
        <v>4</v>
      </c>
      <c r="E4" s="4" t="s">
        <v>166</v>
      </c>
      <c r="F4" s="4" t="s">
        <v>67</v>
      </c>
      <c r="G4" s="4" t="s">
        <v>65</v>
      </c>
      <c r="H4" s="4"/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4" t="s">
        <v>7</v>
      </c>
      <c r="O4" s="4" t="s">
        <v>169</v>
      </c>
      <c r="P4" s="1" t="s">
        <v>86</v>
      </c>
      <c r="Q4" s="1" t="s">
        <v>100</v>
      </c>
      <c r="R4" s="1" t="s">
        <v>100</v>
      </c>
      <c r="S4" s="1" t="s">
        <v>171</v>
      </c>
      <c r="T4" s="1" t="s">
        <v>99</v>
      </c>
      <c r="U4" s="1" t="s">
        <v>177</v>
      </c>
      <c r="V4" s="1" t="s">
        <v>177</v>
      </c>
    </row>
    <row r="5" spans="5:6" ht="12.75">
      <c r="E5" s="4" t="s">
        <v>168</v>
      </c>
      <c r="F5" s="4" t="s">
        <v>168</v>
      </c>
    </row>
    <row r="6" spans="2:22" ht="12.75">
      <c r="B6" s="6" t="s">
        <v>64</v>
      </c>
      <c r="C6" s="7">
        <v>32</v>
      </c>
      <c r="D6" s="10">
        <v>20</v>
      </c>
      <c r="E6" s="11">
        <v>8</v>
      </c>
      <c r="F6" s="11">
        <v>4</v>
      </c>
      <c r="G6" s="12">
        <v>0.5083333333333333</v>
      </c>
      <c r="H6" s="11"/>
      <c r="I6" s="7">
        <f>C6*D6</f>
        <v>640</v>
      </c>
      <c r="J6" s="7">
        <f>I6</f>
        <v>640</v>
      </c>
      <c r="K6" s="7">
        <f>C6*(D6-(8-F6)*2)</f>
        <v>384</v>
      </c>
      <c r="L6" s="7"/>
      <c r="M6" s="7">
        <f>(E6+F6+1)*((C6*2)+(D6*2))+(D6*D6/2*0.5*2)</f>
        <v>1552</v>
      </c>
      <c r="N6" s="11">
        <f>C6*(D6/2*1.414)*2</f>
        <v>904.9599999999999</v>
      </c>
      <c r="O6" s="11">
        <f>N6*(J6-K6)/J6</f>
        <v>361.984</v>
      </c>
      <c r="P6" s="7">
        <f>2*(C6+D6)*(12/16)</f>
        <v>78</v>
      </c>
      <c r="Q6" s="11">
        <f>C6+1</f>
        <v>33</v>
      </c>
      <c r="R6" s="11">
        <f>C6+1</f>
        <v>33</v>
      </c>
      <c r="S6" s="11">
        <f>C6/2+1</f>
        <v>17</v>
      </c>
      <c r="T6" s="7">
        <f>(C6*12/24+1)*2</f>
        <v>34</v>
      </c>
      <c r="U6" s="7">
        <v>45</v>
      </c>
      <c r="V6" s="7">
        <v>72</v>
      </c>
    </row>
    <row r="10" spans="2:7" ht="12.75">
      <c r="B10" s="6" t="s">
        <v>68</v>
      </c>
      <c r="C10" s="3" t="str">
        <f>'Materials Price List'!C26</f>
        <v>3/4" Spruce Plywood</v>
      </c>
      <c r="D10" s="3">
        <f>I6*VLOOKUP(C10,price_table,5,FALSE)</f>
        <v>666.9999999999999</v>
      </c>
      <c r="E10" s="3"/>
      <c r="F10" s="3"/>
      <c r="G10" s="3">
        <f>2*VLOOKUP(C10,price_table,5,FALSE)</f>
        <v>2.0843749999999996</v>
      </c>
    </row>
    <row r="11" spans="2:6" ht="12.75">
      <c r="B11" s="8" t="s">
        <v>69</v>
      </c>
      <c r="C11" s="3" t="str">
        <f>'Materials Price List'!C26</f>
        <v>3/4" Spruce Plywood</v>
      </c>
      <c r="D11" s="3">
        <f>J6*VLOOKUP(C11,price_table,5,FALSE)</f>
        <v>666.9999999999999</v>
      </c>
      <c r="E11" s="3"/>
      <c r="F11" s="3"/>
    </row>
    <row r="12" spans="2:6" ht="12.75">
      <c r="B12" s="8" t="s">
        <v>172</v>
      </c>
      <c r="C12" s="3" t="str">
        <f>'Materials Price List'!C23</f>
        <v>3/4" T&amp;G OSB</v>
      </c>
      <c r="D12" s="3">
        <f>K6*VLOOKUP(C12,price_table,5,FALSE)</f>
        <v>213.20999999999998</v>
      </c>
      <c r="E12" s="3"/>
      <c r="F12" s="3"/>
    </row>
    <row r="13" spans="2:22" s="26" customFormat="1" ht="12.75">
      <c r="B13" s="16" t="s">
        <v>83</v>
      </c>
      <c r="C13" s="27"/>
      <c r="D13" s="27"/>
      <c r="E13" s="17">
        <f>SUM(D10:D12)</f>
        <v>1547.2099999999998</v>
      </c>
      <c r="F13" s="17"/>
      <c r="G13" s="30"/>
      <c r="H13" s="30"/>
      <c r="N13" s="30"/>
      <c r="O13" s="30"/>
      <c r="Q13" s="33"/>
      <c r="R13" s="33"/>
      <c r="S13" s="33"/>
      <c r="T13" s="33"/>
      <c r="U13" s="33"/>
      <c r="V13" s="33"/>
    </row>
    <row r="14" spans="2:22" s="26" customFormat="1" ht="12.75">
      <c r="B14" s="16"/>
      <c r="C14" s="27"/>
      <c r="D14" s="27"/>
      <c r="E14" s="17"/>
      <c r="F14" s="17"/>
      <c r="G14" s="30"/>
      <c r="H14" s="30"/>
      <c r="N14" s="30"/>
      <c r="O14" s="30"/>
      <c r="Q14" s="33"/>
      <c r="R14" s="33"/>
      <c r="S14" s="33"/>
      <c r="T14" s="33"/>
      <c r="U14" s="33"/>
      <c r="V14" s="33"/>
    </row>
    <row r="15" spans="2:6" ht="12.75">
      <c r="B15" s="8" t="s">
        <v>79</v>
      </c>
      <c r="C15" s="3" t="str">
        <f>'Materials Price List'!C20</f>
        <v>7/16" OSB</v>
      </c>
      <c r="D15" s="3">
        <f>M6*VLOOKUP(C15,price_table,5,FALSE)</f>
        <v>471.29874999999987</v>
      </c>
      <c r="E15" s="15"/>
      <c r="F15" s="15"/>
    </row>
    <row r="16" spans="2:6" ht="12.75">
      <c r="B16" s="9" t="s">
        <v>80</v>
      </c>
      <c r="C16" s="3" t="str">
        <f>'Materials Price List'!C24</f>
        <v>1/2" Spruce Plywood</v>
      </c>
      <c r="D16" s="3">
        <f>N6*VLOOKUP(C16,price_table,5,FALSE)</f>
        <v>650.4399999999999</v>
      </c>
      <c r="E16" s="15"/>
      <c r="F16" s="15"/>
    </row>
    <row r="17" spans="2:22" s="26" customFormat="1" ht="12.75">
      <c r="B17" s="25" t="s">
        <v>84</v>
      </c>
      <c r="C17" s="27"/>
      <c r="D17" s="27"/>
      <c r="E17" s="17">
        <f>SUM(D15:D17)</f>
        <v>1121.7387499999998</v>
      </c>
      <c r="F17" s="17"/>
      <c r="G17" s="30"/>
      <c r="H17" s="30"/>
      <c r="N17" s="30"/>
      <c r="O17" s="30"/>
      <c r="Q17" s="33"/>
      <c r="R17" s="33"/>
      <c r="S17" s="33"/>
      <c r="T17" s="33"/>
      <c r="U17" s="33"/>
      <c r="V17" s="33"/>
    </row>
    <row r="18" spans="2:22" s="26" customFormat="1" ht="12.75">
      <c r="B18" s="25"/>
      <c r="C18" s="27"/>
      <c r="D18" s="27"/>
      <c r="E18" s="17"/>
      <c r="F18" s="17"/>
      <c r="G18" s="30"/>
      <c r="H18" s="30"/>
      <c r="N18" s="30"/>
      <c r="O18" s="30"/>
      <c r="Q18" s="33"/>
      <c r="R18" s="33"/>
      <c r="S18" s="33"/>
      <c r="T18" s="33"/>
      <c r="U18" s="33"/>
      <c r="V18" s="33"/>
    </row>
    <row r="19" spans="2:6" ht="12.75">
      <c r="B19" s="25" t="s">
        <v>71</v>
      </c>
      <c r="C19" s="3" t="str">
        <f>'Materials Price List'!C9</f>
        <v>Hardi Panel Fiber Panel Siding</v>
      </c>
      <c r="D19" s="3">
        <f>M6*VLOOKUP(C19,price_table,5,FALSE)</f>
        <v>2231</v>
      </c>
      <c r="E19" s="17">
        <f>D19</f>
        <v>2231</v>
      </c>
      <c r="F19" s="17"/>
    </row>
    <row r="20" spans="2:6" ht="12.75">
      <c r="B20" s="9"/>
      <c r="C20" s="3"/>
      <c r="E20" s="18"/>
      <c r="F20" s="18"/>
    </row>
    <row r="21" spans="2:6" ht="12.75">
      <c r="B21" s="9" t="s">
        <v>72</v>
      </c>
      <c r="C21" s="3" t="str">
        <f>'Materials Price List'!C15</f>
        <v>Cottage Grade Pine Boards</v>
      </c>
      <c r="D21" s="3">
        <f>M6*VLOOKUP(C21,price_table,5,FALSE)</f>
        <v>751.4947368421052</v>
      </c>
      <c r="E21" s="15"/>
      <c r="F21" s="15"/>
    </row>
    <row r="22" spans="2:6" ht="12.75">
      <c r="B22" s="9" t="s">
        <v>73</v>
      </c>
      <c r="C22" s="3" t="str">
        <f>'Materials Price List'!C15</f>
        <v>Cottage Grade Pine Boards</v>
      </c>
      <c r="D22" s="3">
        <f>O6*VLOOKUP(C22,price_table,5,FALSE)</f>
        <v>175.2764631578947</v>
      </c>
      <c r="E22" s="15"/>
      <c r="F22" s="15"/>
    </row>
    <row r="23" spans="2:6" ht="12.75">
      <c r="B23" s="9" t="s">
        <v>173</v>
      </c>
      <c r="C23" s="3" t="str">
        <f>'Materials Price List'!C15</f>
        <v>Cottage Grade Pine Boards</v>
      </c>
      <c r="D23" s="3">
        <f>J6*VLOOKUP(C23,price_table,5,FALSE)</f>
        <v>309.8947368421052</v>
      </c>
      <c r="E23" s="15"/>
      <c r="F23" s="15"/>
    </row>
    <row r="24" spans="2:6" ht="12.75">
      <c r="B24" s="9" t="s">
        <v>174</v>
      </c>
      <c r="C24" s="3" t="str">
        <f>'Materials Price List'!C15</f>
        <v>Cottage Grade Pine Boards</v>
      </c>
      <c r="D24" s="3">
        <f>K6*VLOOKUP(C24,price_table,5,FALSE)</f>
        <v>185.93684210526314</v>
      </c>
      <c r="E24" s="15"/>
      <c r="F24" s="15"/>
    </row>
    <row r="25" spans="2:22" s="26" customFormat="1" ht="12.75">
      <c r="B25" s="25" t="s">
        <v>17</v>
      </c>
      <c r="C25" s="27"/>
      <c r="D25" s="27"/>
      <c r="E25" s="17">
        <f>SUM(D21:D24)</f>
        <v>1422.6027789473683</v>
      </c>
      <c r="F25" s="17"/>
      <c r="G25" s="30"/>
      <c r="H25" s="30"/>
      <c r="N25" s="30"/>
      <c r="O25" s="30"/>
      <c r="Q25" s="33"/>
      <c r="R25" s="33"/>
      <c r="S25" s="33"/>
      <c r="T25" s="33"/>
      <c r="U25" s="33"/>
      <c r="V25" s="33"/>
    </row>
    <row r="26" spans="2:22" s="26" customFormat="1" ht="12.75">
      <c r="B26" s="25"/>
      <c r="C26" s="27"/>
      <c r="D26" s="27"/>
      <c r="E26" s="17"/>
      <c r="F26" s="17"/>
      <c r="G26" s="30"/>
      <c r="H26" s="30"/>
      <c r="N26" s="30"/>
      <c r="O26" s="30"/>
      <c r="Q26" s="33"/>
      <c r="R26" s="33"/>
      <c r="S26" s="33"/>
      <c r="T26" s="33"/>
      <c r="U26" s="33"/>
      <c r="V26" s="33"/>
    </row>
    <row r="27" spans="2:6" ht="12.75">
      <c r="B27" s="9" t="s">
        <v>74</v>
      </c>
      <c r="C27" s="3" t="str">
        <f>'Materials Price List'!C31</f>
        <v>R31 FiberGlass - 9 1/4" 2 x 10</v>
      </c>
      <c r="D27" s="3">
        <f>I6*VLOOKUP(C27,price_table,5,FALSE)</f>
        <v>448.49999999999994</v>
      </c>
      <c r="E27" s="15"/>
      <c r="F27" s="15"/>
    </row>
    <row r="28" spans="2:6" ht="12.75">
      <c r="B28" s="9" t="s">
        <v>75</v>
      </c>
      <c r="C28" s="3" t="str">
        <f>'Materials Price List'!C30</f>
        <v>R21.5 FlexiBatt - 5 1/2" 2 x 6</v>
      </c>
      <c r="D28" s="3">
        <f>M6*VLOOKUP(C28,price_table,5,FALSE)</f>
        <v>847.7799999999999</v>
      </c>
      <c r="E28" s="15"/>
      <c r="F28" s="15"/>
    </row>
    <row r="29" spans="2:6" ht="12.75">
      <c r="B29" s="9" t="s">
        <v>76</v>
      </c>
      <c r="C29" s="3" t="str">
        <f>'Materials Price List'!C31</f>
        <v>R31 FiberGlass - 9 1/4" 2 x 10</v>
      </c>
      <c r="D29" s="3">
        <f>N6*VLOOKUP(C29,price_table,5,FALSE)</f>
        <v>634.1789999999999</v>
      </c>
      <c r="E29" s="15"/>
      <c r="F29" s="15"/>
    </row>
    <row r="30" spans="2:22" s="26" customFormat="1" ht="12.75">
      <c r="B30" s="25" t="s">
        <v>45</v>
      </c>
      <c r="C30" s="27"/>
      <c r="D30" s="27"/>
      <c r="E30" s="17">
        <f>SUM(D27:D29)</f>
        <v>1930.4589999999996</v>
      </c>
      <c r="F30" s="17"/>
      <c r="G30" s="30"/>
      <c r="H30" s="30"/>
      <c r="N30" s="30"/>
      <c r="O30" s="30"/>
      <c r="Q30" s="33"/>
      <c r="R30" s="33"/>
      <c r="S30" s="33"/>
      <c r="T30" s="33"/>
      <c r="U30" s="33"/>
      <c r="V30" s="33"/>
    </row>
    <row r="31" spans="2:22" s="26" customFormat="1" ht="12.75">
      <c r="B31" s="25"/>
      <c r="C31" s="27"/>
      <c r="D31" s="27"/>
      <c r="E31" s="17"/>
      <c r="F31" s="17"/>
      <c r="G31" s="30"/>
      <c r="H31" s="30"/>
      <c r="N31" s="30"/>
      <c r="O31" s="30"/>
      <c r="Q31" s="33"/>
      <c r="R31" s="33"/>
      <c r="S31" s="33"/>
      <c r="T31" s="33"/>
      <c r="U31" s="33"/>
      <c r="V31" s="33"/>
    </row>
    <row r="32" spans="2:6" ht="12.75">
      <c r="B32" s="9" t="s">
        <v>77</v>
      </c>
      <c r="C32" s="3" t="str">
        <f>'Materials Price List'!C36</f>
        <v>Asphaslt shingles 25 year</v>
      </c>
      <c r="D32" s="3">
        <f>N6*VLOOKUP(C32,price_table,5,FALSE)</f>
        <v>483.29907120743036</v>
      </c>
      <c r="E32" s="15"/>
      <c r="F32" s="15"/>
    </row>
    <row r="33" spans="2:6" ht="12.75">
      <c r="B33" s="9" t="s">
        <v>78</v>
      </c>
      <c r="C33" s="3" t="str">
        <f>'Materials Price List'!C35</f>
        <v>Ice &amp; Water Shield</v>
      </c>
      <c r="D33" s="3">
        <f>N6*VLOOKUP(C33,price_table,5,FALSE)</f>
        <v>320.21661538461535</v>
      </c>
      <c r="E33" s="15"/>
      <c r="F33" s="15"/>
    </row>
    <row r="34" spans="2:22" s="26" customFormat="1" ht="12.75">
      <c r="B34" s="25" t="s">
        <v>54</v>
      </c>
      <c r="C34" s="27"/>
      <c r="D34" s="27"/>
      <c r="E34" s="17">
        <f>SUM(D32:D33)</f>
        <v>803.5156865920458</v>
      </c>
      <c r="F34" s="17"/>
      <c r="G34" s="30"/>
      <c r="H34" s="30"/>
      <c r="N34" s="30"/>
      <c r="O34" s="30"/>
      <c r="Q34" s="33"/>
      <c r="R34" s="33"/>
      <c r="S34" s="33"/>
      <c r="T34" s="33"/>
      <c r="U34" s="33"/>
      <c r="V34" s="33"/>
    </row>
    <row r="35" spans="2:6" ht="12.75">
      <c r="B35" s="13"/>
      <c r="C35" s="3"/>
      <c r="E35" s="14"/>
      <c r="F35" s="14"/>
    </row>
    <row r="36" spans="2:6" ht="12.75">
      <c r="B36" s="9" t="s">
        <v>85</v>
      </c>
      <c r="C36" s="3" t="str">
        <f>'Materials Price List'!C41</f>
        <v>2 x 6 12 ft</v>
      </c>
      <c r="D36" s="3">
        <f>P6*VLOOKUP(C36,price_table,4,FALSE)</f>
        <v>537.303</v>
      </c>
      <c r="E36" s="14"/>
      <c r="F36" s="14"/>
    </row>
    <row r="37" spans="2:6" ht="12.75">
      <c r="B37" s="9" t="s">
        <v>89</v>
      </c>
      <c r="C37" s="3" t="str">
        <f>'Materials Price List'!C51</f>
        <v>2 x 12 20 ft</v>
      </c>
      <c r="D37" s="3">
        <f>Q6*VLOOKUP(C37,price_table,4,FALSE)</f>
        <v>1023.891</v>
      </c>
      <c r="E37" s="14"/>
      <c r="F37" s="14"/>
    </row>
    <row r="38" spans="2:6" ht="12.75">
      <c r="B38" s="9" t="s">
        <v>90</v>
      </c>
      <c r="C38" s="3" t="str">
        <f>'Materials Price List'!C51</f>
        <v>2 x 12 20 ft</v>
      </c>
      <c r="D38" s="3">
        <f>R6*VLOOKUP(C38,price_table,4,FALSE)</f>
        <v>1023.891</v>
      </c>
      <c r="E38" s="3"/>
      <c r="F38" s="3"/>
    </row>
    <row r="39" spans="2:6" ht="12.75">
      <c r="B39" s="9" t="s">
        <v>170</v>
      </c>
      <c r="C39" s="40" t="str">
        <f>'Materials Price List'!C42</f>
        <v>2 x 8 12 ft</v>
      </c>
      <c r="D39" s="40">
        <f>S6*VLOOKUP(C39,price_table,4,FALSE)</f>
        <v>188.07099999999997</v>
      </c>
      <c r="E39" s="3"/>
      <c r="F39" s="3"/>
    </row>
    <row r="40" spans="2:6" ht="12.75">
      <c r="B40" s="9" t="s">
        <v>91</v>
      </c>
      <c r="C40" s="3" t="str">
        <f>'Materials Price List'!C45</f>
        <v>2 x 10 14 ft</v>
      </c>
      <c r="D40" s="3">
        <f>T6*VLOOKUP(C40,price_table,4,FALSE)</f>
        <v>703.8</v>
      </c>
      <c r="E40" s="3"/>
      <c r="F40" s="3"/>
    </row>
    <row r="41" spans="2:6" ht="12.75">
      <c r="B41" s="9" t="s">
        <v>97</v>
      </c>
      <c r="C41" s="37" t="s">
        <v>162</v>
      </c>
      <c r="D41" s="38"/>
      <c r="E41" s="3"/>
      <c r="F41" s="3"/>
    </row>
    <row r="42" spans="2:22" s="26" customFormat="1" ht="12.75">
      <c r="B42" s="25" t="s">
        <v>92</v>
      </c>
      <c r="D42" s="27"/>
      <c r="E42" s="17">
        <f>SUM(D36:D41)</f>
        <v>3476.956</v>
      </c>
      <c r="F42" s="17"/>
      <c r="G42" s="30"/>
      <c r="H42" s="30"/>
      <c r="N42" s="30"/>
      <c r="O42" s="30"/>
      <c r="Q42" s="33"/>
      <c r="R42" s="33"/>
      <c r="S42" s="33"/>
      <c r="T42" s="33"/>
      <c r="U42" s="33"/>
      <c r="V42" s="33"/>
    </row>
    <row r="43" spans="2:22" s="26" customFormat="1" ht="12.75">
      <c r="B43" s="25"/>
      <c r="D43" s="27"/>
      <c r="E43" s="17"/>
      <c r="F43" s="17"/>
      <c r="G43" s="30"/>
      <c r="H43" s="30"/>
      <c r="N43" s="30"/>
      <c r="O43" s="30"/>
      <c r="Q43" s="33"/>
      <c r="R43" s="33"/>
      <c r="S43" s="33"/>
      <c r="T43" s="33"/>
      <c r="U43" s="33"/>
      <c r="V43" s="33"/>
    </row>
    <row r="44" spans="2:22" s="28" customFormat="1" ht="12.75">
      <c r="B44" s="9" t="s">
        <v>179</v>
      </c>
      <c r="C44" s="35" t="str">
        <f>'Materials Price List'!C38</f>
        <v>2 x 4 8 ft</v>
      </c>
      <c r="D44" s="36">
        <f>(U6+V6)/2*VLOOKUP(C44,price_table,4,FALSE)</f>
        <v>201.825</v>
      </c>
      <c r="E44" s="15"/>
      <c r="F44" s="15"/>
      <c r="G44" s="29"/>
      <c r="H44" s="29"/>
      <c r="N44" s="29"/>
      <c r="O44" s="29"/>
      <c r="Q44" s="34"/>
      <c r="R44" s="34"/>
      <c r="S44" s="34"/>
      <c r="T44" s="34"/>
      <c r="U44" s="34"/>
      <c r="V44" s="34"/>
    </row>
    <row r="45" spans="2:22" s="28" customFormat="1" ht="12.75">
      <c r="B45" s="9" t="s">
        <v>180</v>
      </c>
      <c r="C45" s="3" t="str">
        <f>'Materials Price List'!C15</f>
        <v>Cottage Grade Pine Boards</v>
      </c>
      <c r="D45" s="24">
        <f>((U6+V6)*8*VLOOKUP(C45,price_table,5,FALSE))*2</f>
        <v>906.4421052631578</v>
      </c>
      <c r="E45" s="15"/>
      <c r="F45" s="15"/>
      <c r="G45" s="29"/>
      <c r="H45" s="29"/>
      <c r="N45" s="29"/>
      <c r="O45" s="29"/>
      <c r="Q45" s="34"/>
      <c r="R45" s="34"/>
      <c r="S45" s="34"/>
      <c r="T45" s="34"/>
      <c r="U45" s="34"/>
      <c r="V45" s="34"/>
    </row>
    <row r="46" spans="2:22" s="26" customFormat="1" ht="12.75">
      <c r="B46" s="25" t="s">
        <v>181</v>
      </c>
      <c r="D46" s="27"/>
      <c r="E46" s="17">
        <f>SUM(D44:D45)</f>
        <v>1108.2671052631579</v>
      </c>
      <c r="F46" s="17"/>
      <c r="G46" s="30"/>
      <c r="H46" s="30"/>
      <c r="N46" s="30"/>
      <c r="O46" s="30"/>
      <c r="Q46" s="33"/>
      <c r="R46" s="33"/>
      <c r="S46" s="33"/>
      <c r="T46" s="33"/>
      <c r="U46" s="33"/>
      <c r="V46" s="33"/>
    </row>
    <row r="47" spans="2:22" s="26" customFormat="1" ht="12.75">
      <c r="B47" s="25"/>
      <c r="D47" s="27"/>
      <c r="E47" s="17"/>
      <c r="F47" s="17"/>
      <c r="G47" s="30"/>
      <c r="H47" s="30"/>
      <c r="N47" s="30"/>
      <c r="O47" s="30"/>
      <c r="Q47" s="33"/>
      <c r="R47" s="33"/>
      <c r="S47" s="33"/>
      <c r="T47" s="33"/>
      <c r="U47" s="33"/>
      <c r="V47" s="33"/>
    </row>
    <row r="48" spans="2:6" ht="12.75">
      <c r="B48" s="19"/>
      <c r="E48" s="20"/>
      <c r="F48" s="20"/>
    </row>
    <row r="49" spans="2:6" ht="12.75">
      <c r="B49" s="25" t="s">
        <v>96</v>
      </c>
      <c r="C49" s="24" t="str">
        <f>'Materials Price List'!C57</f>
        <v>SunMar Composting Toilet</v>
      </c>
      <c r="D49" s="24">
        <f>1*VLOOKUP(C49,price_table,4,FALSE)</f>
        <v>1452.4499999999998</v>
      </c>
      <c r="E49" s="17">
        <f>D49</f>
        <v>1452.4499999999998</v>
      </c>
      <c r="F49" s="17"/>
    </row>
    <row r="50" spans="2:6" ht="12.75">
      <c r="B50" s="19"/>
      <c r="E50" s="20"/>
      <c r="F50" s="20"/>
    </row>
    <row r="51" spans="2:6" ht="12.75">
      <c r="B51" s="9" t="s">
        <v>155</v>
      </c>
      <c r="C51" t="str">
        <f>'Materials Price List'!C71</f>
        <v>Vinyl Slider 47 3/8" x 46 5/8", 4 9/16"</v>
      </c>
      <c r="D51" s="3">
        <f>2*VLOOKUP(C51,price_table,4,FALSE)</f>
        <v>599.61</v>
      </c>
      <c r="E51" s="20"/>
      <c r="F51" s="20"/>
    </row>
    <row r="52" spans="2:6" ht="12.75">
      <c r="B52" s="9" t="s">
        <v>156</v>
      </c>
      <c r="C52" t="str">
        <f>'Materials Price List'!C71</f>
        <v>Vinyl Slider 47 3/8" x 46 5/8", 4 9/16"</v>
      </c>
      <c r="D52" s="3">
        <f>1*VLOOKUP(C52,price_table,4,FALSE)</f>
        <v>299.805</v>
      </c>
      <c r="E52" s="20"/>
      <c r="F52" s="20"/>
    </row>
    <row r="53" spans="2:6" ht="12.75">
      <c r="B53" s="9" t="s">
        <v>157</v>
      </c>
      <c r="C53" t="str">
        <f>'Materials Price List'!C68</f>
        <v>Vinyl Slider 35 9/16" x 34 13/16", 4 9/16"</v>
      </c>
      <c r="D53" s="3">
        <f>1*VLOOKUP(C53,price_table,4,FALSE)</f>
        <v>213.785</v>
      </c>
      <c r="E53" s="20"/>
      <c r="F53" s="20"/>
    </row>
    <row r="54" spans="2:6" ht="12.75">
      <c r="B54" s="9" t="s">
        <v>163</v>
      </c>
      <c r="C54" t="str">
        <f>'Materials Price List'!C65</f>
        <v>Vinyl Slider 31 5/8" x 15 1/8", 4 9/16"</v>
      </c>
      <c r="D54" s="3">
        <f>1*VLOOKUP(C54,price_table,4,FALSE)</f>
        <v>135.355</v>
      </c>
      <c r="E54" s="20"/>
      <c r="F54" s="20"/>
    </row>
    <row r="55" spans="2:6" ht="12.75">
      <c r="B55" s="9" t="s">
        <v>175</v>
      </c>
      <c r="C55" t="str">
        <f>'Materials Price List'!C67</f>
        <v>Vinyl Slider 31 5/8" x 30 7/8", 4 9/16"</v>
      </c>
      <c r="D55" s="3">
        <f>1*VLOOKUP(C55,price_table,4,FALSE)</f>
        <v>183.42499999999998</v>
      </c>
      <c r="E55" s="20"/>
      <c r="F55" s="20"/>
    </row>
    <row r="56" spans="2:6" ht="12.75">
      <c r="B56" s="9" t="s">
        <v>158</v>
      </c>
      <c r="C56" t="str">
        <f>'Materials Price List'!C66</f>
        <v>Vinyl Slider 31 5/8" x 23", 4 9/16"</v>
      </c>
      <c r="D56" s="3">
        <f>4*VLOOKUP(C56,price_table,4,FALSE)</f>
        <v>647.68</v>
      </c>
      <c r="E56" s="20"/>
      <c r="F56" s="20"/>
    </row>
    <row r="57" spans="2:6" ht="12.75">
      <c r="B57" s="25" t="s">
        <v>95</v>
      </c>
      <c r="C57" s="26"/>
      <c r="D57" s="27"/>
      <c r="E57" s="17">
        <f>SUM(D51:D56)</f>
        <v>2079.66</v>
      </c>
      <c r="F57" s="17"/>
    </row>
    <row r="58" spans="2:6" ht="12.75">
      <c r="B58" s="25"/>
      <c r="C58" s="26"/>
      <c r="D58" s="27"/>
      <c r="E58" s="17"/>
      <c r="F58" s="17"/>
    </row>
    <row r="59" spans="2:22" s="28" customFormat="1" ht="12.75">
      <c r="B59" s="9" t="s">
        <v>159</v>
      </c>
      <c r="C59" t="str">
        <f>'Materials Price List'!C59</f>
        <v>PVC Patio Door</v>
      </c>
      <c r="D59" s="24">
        <f>1*VLOOKUP(C59,price_table,4,FALSE)</f>
        <v>605.9350000000001</v>
      </c>
      <c r="E59" s="15"/>
      <c r="F59" s="15"/>
      <c r="G59" s="29"/>
      <c r="H59" s="29"/>
      <c r="N59" s="29"/>
      <c r="O59" s="29"/>
      <c r="Q59" s="34"/>
      <c r="R59" s="34"/>
      <c r="S59" s="34"/>
      <c r="T59" s="34"/>
      <c r="U59" s="34"/>
      <c r="V59" s="34"/>
    </row>
    <row r="60" spans="2:22" s="28" customFormat="1" ht="12.75">
      <c r="B60" s="9" t="s">
        <v>160</v>
      </c>
      <c r="C60" t="str">
        <f>'Materials Price List'!C61</f>
        <v>Steel Front Door - no window</v>
      </c>
      <c r="D60" s="24">
        <f>1*VLOOKUP(C60,price_table,4,FALSE)</f>
        <v>182.85</v>
      </c>
      <c r="E60" s="15"/>
      <c r="F60" s="15"/>
      <c r="G60" s="29"/>
      <c r="H60" s="29"/>
      <c r="N60" s="29"/>
      <c r="O60" s="29"/>
      <c r="Q60" s="34"/>
      <c r="R60" s="34"/>
      <c r="S60" s="34"/>
      <c r="T60" s="34"/>
      <c r="U60" s="34"/>
      <c r="V60" s="34"/>
    </row>
    <row r="61" spans="2:22" s="28" customFormat="1" ht="12.75">
      <c r="B61" s="9" t="s">
        <v>161</v>
      </c>
      <c r="C61" s="28" t="str">
        <f>'Materials Price List'!C63</f>
        <v>Screen Door</v>
      </c>
      <c r="D61" s="24">
        <f>1*VLOOKUP(C61,price_table,4,FALSE)</f>
        <v>218.49999999999997</v>
      </c>
      <c r="E61" s="15"/>
      <c r="F61" s="15"/>
      <c r="G61" s="29"/>
      <c r="H61" s="29"/>
      <c r="N61" s="29"/>
      <c r="O61" s="29"/>
      <c r="Q61" s="34"/>
      <c r="R61" s="34"/>
      <c r="S61" s="34"/>
      <c r="T61" s="34"/>
      <c r="U61" s="34"/>
      <c r="V61" s="34"/>
    </row>
    <row r="62" spans="2:22" s="28" customFormat="1" ht="12.75">
      <c r="B62" s="9" t="s">
        <v>182</v>
      </c>
      <c r="C62" s="37" t="s">
        <v>162</v>
      </c>
      <c r="D62" s="38"/>
      <c r="E62" s="15"/>
      <c r="F62" s="15"/>
      <c r="G62" s="29"/>
      <c r="H62" s="29"/>
      <c r="N62" s="29"/>
      <c r="O62" s="29"/>
      <c r="Q62" s="34"/>
      <c r="R62" s="34"/>
      <c r="S62" s="34"/>
      <c r="T62" s="34"/>
      <c r="U62" s="34"/>
      <c r="V62" s="34"/>
    </row>
    <row r="63" spans="2:22" s="26" customFormat="1" ht="12.75">
      <c r="B63" s="25" t="s">
        <v>130</v>
      </c>
      <c r="C63" s="41"/>
      <c r="D63" s="42"/>
      <c r="E63" s="17">
        <f>SUM(D59:D62)</f>
        <v>1007.2850000000001</v>
      </c>
      <c r="F63" s="17"/>
      <c r="G63" s="30"/>
      <c r="H63" s="30"/>
      <c r="N63" s="30"/>
      <c r="O63" s="30"/>
      <c r="Q63" s="33"/>
      <c r="R63" s="33"/>
      <c r="S63" s="33"/>
      <c r="T63" s="33"/>
      <c r="U63" s="33"/>
      <c r="V63" s="33"/>
    </row>
    <row r="64" spans="2:6" ht="12.75">
      <c r="B64" s="19"/>
      <c r="C64" s="23"/>
      <c r="E64" s="20"/>
      <c r="F64" s="20"/>
    </row>
    <row r="65" spans="2:22" s="26" customFormat="1" ht="12.75">
      <c r="B65" s="25" t="s">
        <v>94</v>
      </c>
      <c r="C65" s="26" t="s">
        <v>93</v>
      </c>
      <c r="D65" s="27"/>
      <c r="E65" s="27"/>
      <c r="F65" s="27"/>
      <c r="G65" s="30"/>
      <c r="H65" s="30"/>
      <c r="N65" s="30"/>
      <c r="O65" s="30"/>
      <c r="Q65" s="33"/>
      <c r="R65" s="33"/>
      <c r="S65" s="33"/>
      <c r="T65" s="33"/>
      <c r="U65" s="33"/>
      <c r="V65" s="33"/>
    </row>
    <row r="66" spans="2:6" ht="12.75">
      <c r="B66" s="19"/>
      <c r="E66" s="20"/>
      <c r="F66" s="20"/>
    </row>
    <row r="67" spans="2:6" ht="12.75">
      <c r="B67" s="13"/>
      <c r="E67" s="3"/>
      <c r="F67" s="3"/>
    </row>
    <row r="68" spans="3:6" ht="13.5" thickBot="1">
      <c r="C68" s="31" t="s">
        <v>81</v>
      </c>
      <c r="D68" s="31">
        <f>SUM(D10:D67)</f>
        <v>18181.14432080257</v>
      </c>
      <c r="E68" s="3">
        <f>SUM(E10:E67)</f>
        <v>18181.14432080257</v>
      </c>
      <c r="F68" s="3"/>
    </row>
    <row r="69" spans="5:6" ht="13.5" thickTop="1">
      <c r="E69" s="3"/>
      <c r="F69" s="3"/>
    </row>
    <row r="70" spans="3:6" ht="12.75">
      <c r="C70" s="15" t="s">
        <v>82</v>
      </c>
      <c r="D70" s="15">
        <f>D68*1.1</f>
        <v>19999.25875288283</v>
      </c>
      <c r="E70" s="3"/>
      <c r="F7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77"/>
  <sheetViews>
    <sheetView workbookViewId="0" topLeftCell="A1">
      <selection activeCell="C81" sqref="C81"/>
    </sheetView>
  </sheetViews>
  <sheetFormatPr defaultColWidth="9.140625" defaultRowHeight="12.75"/>
  <cols>
    <col min="1" max="1" width="5.7109375" style="7" customWidth="1"/>
    <col min="2" max="2" width="17.00390625" style="0" customWidth="1"/>
    <col min="3" max="3" width="42.57421875" style="0" customWidth="1"/>
    <col min="4" max="4" width="25.00390625" style="0" customWidth="1"/>
    <col min="5" max="5" width="11.421875" style="3" customWidth="1"/>
    <col min="6" max="6" width="12.421875" style="3" customWidth="1"/>
    <col min="7" max="7" width="14.140625" style="3" customWidth="1"/>
  </cols>
  <sheetData>
    <row r="4" spans="1:7" s="1" customFormat="1" ht="12.75">
      <c r="A4" s="1" t="s">
        <v>63</v>
      </c>
      <c r="B4" s="1" t="s">
        <v>8</v>
      </c>
      <c r="C4" s="1" t="s">
        <v>0</v>
      </c>
      <c r="D4" s="1" t="s">
        <v>1</v>
      </c>
      <c r="E4" s="2" t="s">
        <v>2</v>
      </c>
      <c r="F4" s="2" t="s">
        <v>9</v>
      </c>
      <c r="G4" s="2" t="s">
        <v>10</v>
      </c>
    </row>
    <row r="5" spans="5:7" s="1" customFormat="1" ht="12.75">
      <c r="E5" s="2"/>
      <c r="F5" s="2"/>
      <c r="G5" s="2"/>
    </row>
    <row r="7" spans="1:7" ht="12.75">
      <c r="A7" s="7">
        <v>1</v>
      </c>
      <c r="B7" t="s">
        <v>11</v>
      </c>
      <c r="C7" t="s">
        <v>28</v>
      </c>
      <c r="D7" t="s">
        <v>29</v>
      </c>
      <c r="E7" s="3">
        <v>29</v>
      </c>
      <c r="F7" s="3">
        <f>E7*1.15</f>
        <v>33.349999999999994</v>
      </c>
      <c r="G7" s="3">
        <f>F7/32</f>
        <v>1.0421874999999998</v>
      </c>
    </row>
    <row r="8" spans="1:7" ht="12.75">
      <c r="A8" s="7">
        <v>1</v>
      </c>
      <c r="B8" t="s">
        <v>11</v>
      </c>
      <c r="C8" t="s">
        <v>12</v>
      </c>
      <c r="D8" t="s">
        <v>13</v>
      </c>
      <c r="E8" s="3">
        <v>39</v>
      </c>
      <c r="F8" s="3">
        <f>E8*1.15</f>
        <v>44.849999999999994</v>
      </c>
      <c r="G8" s="3">
        <f>F8/32</f>
        <v>1.4015624999999998</v>
      </c>
    </row>
    <row r="9" spans="1:7" ht="12.75">
      <c r="A9" s="7">
        <v>1</v>
      </c>
      <c r="B9" t="s">
        <v>11</v>
      </c>
      <c r="C9" t="s">
        <v>190</v>
      </c>
      <c r="D9" t="s">
        <v>15</v>
      </c>
      <c r="E9" s="3">
        <v>40</v>
      </c>
      <c r="F9" s="3">
        <f>E9*1.15</f>
        <v>46</v>
      </c>
      <c r="G9" s="3">
        <f>F9/32</f>
        <v>1.4375</v>
      </c>
    </row>
    <row r="10" spans="1:7" ht="12.75">
      <c r="A10" s="7">
        <v>1</v>
      </c>
      <c r="B10" t="s">
        <v>11</v>
      </c>
      <c r="C10" t="s">
        <v>191</v>
      </c>
      <c r="D10" t="s">
        <v>16</v>
      </c>
      <c r="E10" s="3">
        <v>20.5</v>
      </c>
      <c r="F10" s="3">
        <f>E10*1.15</f>
        <v>23.575</v>
      </c>
      <c r="G10" s="3">
        <f>F10/12</f>
        <v>1.9645833333333333</v>
      </c>
    </row>
    <row r="11" spans="1:7" ht="12.75">
      <c r="A11" s="7">
        <v>1</v>
      </c>
      <c r="B11" t="s">
        <v>11</v>
      </c>
      <c r="C11" t="s">
        <v>14</v>
      </c>
      <c r="G11" s="3">
        <v>2.7</v>
      </c>
    </row>
    <row r="13" spans="1:7" ht="12.75">
      <c r="A13" s="7">
        <v>2</v>
      </c>
      <c r="B13" t="s">
        <v>17</v>
      </c>
      <c r="C13" t="s">
        <v>18</v>
      </c>
      <c r="D13" t="s">
        <v>19</v>
      </c>
      <c r="E13" s="3">
        <v>10</v>
      </c>
      <c r="F13" s="3">
        <f aca="true" t="shared" si="0" ref="F13:F18">E13*1.15</f>
        <v>11.5</v>
      </c>
      <c r="G13" s="3">
        <f>F13/32</f>
        <v>0.359375</v>
      </c>
    </row>
    <row r="14" spans="1:7" ht="12.75">
      <c r="A14" s="7">
        <v>2</v>
      </c>
      <c r="B14" t="s">
        <v>17</v>
      </c>
      <c r="C14" t="s">
        <v>21</v>
      </c>
      <c r="D14" t="s">
        <v>20</v>
      </c>
      <c r="E14" s="3">
        <v>13</v>
      </c>
      <c r="F14" s="3">
        <f t="shared" si="0"/>
        <v>14.95</v>
      </c>
      <c r="G14" s="3">
        <f>F14/32</f>
        <v>0.4671875</v>
      </c>
    </row>
    <row r="15" spans="1:7" ht="12.75">
      <c r="A15" s="7">
        <v>2</v>
      </c>
      <c r="B15" t="s">
        <v>17</v>
      </c>
      <c r="C15" t="s">
        <v>25</v>
      </c>
      <c r="D15" t="s">
        <v>27</v>
      </c>
      <c r="E15" s="3">
        <v>1</v>
      </c>
      <c r="F15" s="3">
        <f t="shared" si="0"/>
        <v>1.15</v>
      </c>
      <c r="G15" s="3">
        <f>F15/2.375</f>
        <v>0.4842105263157894</v>
      </c>
    </row>
    <row r="16" spans="1:7" ht="12.75">
      <c r="A16" s="7">
        <v>2</v>
      </c>
      <c r="B16" t="s">
        <v>17</v>
      </c>
      <c r="C16" t="s">
        <v>22</v>
      </c>
      <c r="D16" t="s">
        <v>20</v>
      </c>
      <c r="E16" s="3">
        <v>23</v>
      </c>
      <c r="F16" s="3">
        <f t="shared" si="0"/>
        <v>26.45</v>
      </c>
      <c r="G16" s="3">
        <f>F16/32</f>
        <v>0.8265625</v>
      </c>
    </row>
    <row r="17" spans="1:7" ht="12.75">
      <c r="A17" s="7">
        <v>2</v>
      </c>
      <c r="B17" t="s">
        <v>17</v>
      </c>
      <c r="C17" t="s">
        <v>24</v>
      </c>
      <c r="D17" t="s">
        <v>27</v>
      </c>
      <c r="E17" s="3">
        <v>2.17</v>
      </c>
      <c r="F17" s="3">
        <f t="shared" si="0"/>
        <v>2.4955</v>
      </c>
      <c r="G17" s="3">
        <f>F17/2.375</f>
        <v>1.0507368421052632</v>
      </c>
    </row>
    <row r="18" spans="1:7" ht="12.75">
      <c r="A18" s="7">
        <v>2</v>
      </c>
      <c r="B18" t="s">
        <v>17</v>
      </c>
      <c r="C18" t="s">
        <v>23</v>
      </c>
      <c r="D18" t="s">
        <v>26</v>
      </c>
      <c r="E18" s="3">
        <v>6.25</v>
      </c>
      <c r="F18" s="3">
        <f t="shared" si="0"/>
        <v>7.187499999999999</v>
      </c>
      <c r="G18" s="3">
        <f>F18/3.54</f>
        <v>2.030367231638418</v>
      </c>
    </row>
    <row r="20" spans="1:7" ht="12.75">
      <c r="A20" s="7">
        <v>3</v>
      </c>
      <c r="B20" t="s">
        <v>39</v>
      </c>
      <c r="C20" t="s">
        <v>40</v>
      </c>
      <c r="D20" t="s">
        <v>15</v>
      </c>
      <c r="E20" s="3">
        <v>8.45</v>
      </c>
      <c r="F20" s="3">
        <f aca="true" t="shared" si="1" ref="F20:F26">E20*1.15</f>
        <v>9.717499999999998</v>
      </c>
      <c r="G20" s="3">
        <f aca="true" t="shared" si="2" ref="G20:G26">F20/32</f>
        <v>0.3036718749999999</v>
      </c>
    </row>
    <row r="21" spans="1:7" ht="12.75">
      <c r="A21" s="7">
        <v>3</v>
      </c>
      <c r="B21" t="s">
        <v>30</v>
      </c>
      <c r="C21" t="s">
        <v>33</v>
      </c>
      <c r="D21" t="s">
        <v>31</v>
      </c>
      <c r="E21" s="3">
        <v>12.3</v>
      </c>
      <c r="F21" s="3">
        <f t="shared" si="1"/>
        <v>14.145</v>
      </c>
      <c r="G21" s="3">
        <f t="shared" si="2"/>
        <v>0.44203125</v>
      </c>
    </row>
    <row r="22" spans="1:7" ht="12.75">
      <c r="A22" s="7">
        <v>3</v>
      </c>
      <c r="B22" t="s">
        <v>30</v>
      </c>
      <c r="C22" t="s">
        <v>36</v>
      </c>
      <c r="D22" t="s">
        <v>29</v>
      </c>
      <c r="E22" s="3">
        <v>15</v>
      </c>
      <c r="F22" s="3">
        <f t="shared" si="1"/>
        <v>17.25</v>
      </c>
      <c r="G22" s="3">
        <f t="shared" si="2"/>
        <v>0.5390625</v>
      </c>
    </row>
    <row r="23" spans="1:7" ht="12.75">
      <c r="A23" s="7">
        <v>3</v>
      </c>
      <c r="B23" t="s">
        <v>30</v>
      </c>
      <c r="C23" t="s">
        <v>34</v>
      </c>
      <c r="D23" t="s">
        <v>37</v>
      </c>
      <c r="E23" s="3">
        <v>15.45</v>
      </c>
      <c r="F23" s="3">
        <f t="shared" si="1"/>
        <v>17.7675</v>
      </c>
      <c r="G23" s="3">
        <f t="shared" si="2"/>
        <v>0.555234375</v>
      </c>
    </row>
    <row r="24" spans="1:7" ht="12.75">
      <c r="A24" s="7">
        <v>3</v>
      </c>
      <c r="B24" t="s">
        <v>30</v>
      </c>
      <c r="C24" t="s">
        <v>35</v>
      </c>
      <c r="D24" t="s">
        <v>19</v>
      </c>
      <c r="E24" s="3">
        <v>20</v>
      </c>
      <c r="F24" s="3">
        <f t="shared" si="1"/>
        <v>23</v>
      </c>
      <c r="G24" s="3">
        <f t="shared" si="2"/>
        <v>0.71875</v>
      </c>
    </row>
    <row r="25" spans="1:7" ht="12.75">
      <c r="A25" s="7">
        <v>3</v>
      </c>
      <c r="B25" t="s">
        <v>30</v>
      </c>
      <c r="C25" t="s">
        <v>32</v>
      </c>
      <c r="D25" t="s">
        <v>31</v>
      </c>
      <c r="E25" s="3">
        <v>24.65</v>
      </c>
      <c r="F25" s="3">
        <f t="shared" si="1"/>
        <v>28.347499999999997</v>
      </c>
      <c r="G25" s="3">
        <f t="shared" si="2"/>
        <v>0.8858593749999999</v>
      </c>
    </row>
    <row r="26" spans="1:7" ht="12.75">
      <c r="A26" s="7">
        <v>3</v>
      </c>
      <c r="B26" t="s">
        <v>30</v>
      </c>
      <c r="C26" t="s">
        <v>38</v>
      </c>
      <c r="D26" t="s">
        <v>37</v>
      </c>
      <c r="E26" s="3">
        <v>29</v>
      </c>
      <c r="F26" s="3">
        <f t="shared" si="1"/>
        <v>33.349999999999994</v>
      </c>
      <c r="G26" s="3">
        <f t="shared" si="2"/>
        <v>1.0421874999999998</v>
      </c>
    </row>
    <row r="28" spans="1:7" ht="12.75">
      <c r="A28" s="7">
        <v>4</v>
      </c>
      <c r="B28" t="s">
        <v>45</v>
      </c>
      <c r="C28" t="s">
        <v>46</v>
      </c>
      <c r="D28" t="s">
        <v>47</v>
      </c>
      <c r="E28" s="3">
        <v>23</v>
      </c>
      <c r="F28" s="3">
        <f>E28*1.15</f>
        <v>26.45</v>
      </c>
      <c r="G28" s="3">
        <f>F28/88</f>
        <v>0.3005681818181818</v>
      </c>
    </row>
    <row r="29" spans="1:7" ht="12.75">
      <c r="A29" s="7">
        <v>4</v>
      </c>
      <c r="B29" t="s">
        <v>45</v>
      </c>
      <c r="C29" t="s">
        <v>48</v>
      </c>
      <c r="D29" t="s">
        <v>49</v>
      </c>
      <c r="E29" s="3">
        <v>22</v>
      </c>
      <c r="F29" s="3">
        <f>E29*1.15</f>
        <v>25.299999999999997</v>
      </c>
      <c r="G29" s="3">
        <f>F29/49</f>
        <v>0.5163265306122449</v>
      </c>
    </row>
    <row r="30" spans="1:7" ht="12.75">
      <c r="A30" s="7">
        <v>4</v>
      </c>
      <c r="B30" t="s">
        <v>45</v>
      </c>
      <c r="C30" t="s">
        <v>50</v>
      </c>
      <c r="D30" t="s">
        <v>51</v>
      </c>
      <c r="E30" s="3">
        <v>19</v>
      </c>
      <c r="F30" s="3">
        <f>E30*1.15</f>
        <v>21.849999999999998</v>
      </c>
      <c r="G30" s="3">
        <f>F30/40</f>
        <v>0.5462499999999999</v>
      </c>
    </row>
    <row r="31" spans="1:7" ht="12.75">
      <c r="A31" s="7">
        <v>4</v>
      </c>
      <c r="B31" t="s">
        <v>45</v>
      </c>
      <c r="C31" t="s">
        <v>52</v>
      </c>
      <c r="D31" t="s">
        <v>53</v>
      </c>
      <c r="E31" s="3">
        <v>39</v>
      </c>
      <c r="F31" s="3">
        <f>E31*1.15</f>
        <v>44.849999999999994</v>
      </c>
      <c r="G31" s="3">
        <f>F31/64</f>
        <v>0.7007812499999999</v>
      </c>
    </row>
    <row r="33" spans="1:7" ht="12.75">
      <c r="A33" s="7">
        <v>5</v>
      </c>
      <c r="B33" t="s">
        <v>54</v>
      </c>
      <c r="C33" t="s">
        <v>59</v>
      </c>
      <c r="D33" t="s">
        <v>60</v>
      </c>
      <c r="E33" s="3">
        <v>17.5</v>
      </c>
      <c r="F33" s="3">
        <f>E33*1.15</f>
        <v>20.125</v>
      </c>
      <c r="G33" s="3">
        <f>F33/430</f>
        <v>0.04680232558139535</v>
      </c>
    </row>
    <row r="34" spans="1:7" ht="12.75">
      <c r="A34" s="7">
        <v>5</v>
      </c>
      <c r="B34" t="s">
        <v>54</v>
      </c>
      <c r="C34" t="s">
        <v>61</v>
      </c>
      <c r="D34" t="s">
        <v>62</v>
      </c>
      <c r="E34" s="3">
        <v>25</v>
      </c>
      <c r="F34" s="3">
        <f>E34*1.15</f>
        <v>28.749999999999996</v>
      </c>
      <c r="G34" s="3">
        <f>F34/108</f>
        <v>0.26620370370370366</v>
      </c>
    </row>
    <row r="35" spans="1:7" ht="12.75">
      <c r="A35" s="7">
        <v>5</v>
      </c>
      <c r="B35" t="s">
        <v>54</v>
      </c>
      <c r="C35" t="s">
        <v>57</v>
      </c>
      <c r="D35" t="s">
        <v>58</v>
      </c>
      <c r="E35" s="3">
        <v>60</v>
      </c>
      <c r="F35" s="3">
        <f>E35*1.15</f>
        <v>69</v>
      </c>
      <c r="G35" s="3">
        <f>F35/195</f>
        <v>0.35384615384615387</v>
      </c>
    </row>
    <row r="36" spans="1:7" ht="12.75">
      <c r="A36" s="7">
        <v>5</v>
      </c>
      <c r="B36" t="s">
        <v>54</v>
      </c>
      <c r="C36" t="s">
        <v>55</v>
      </c>
      <c r="D36" t="s">
        <v>56</v>
      </c>
      <c r="E36" s="3">
        <v>15</v>
      </c>
      <c r="F36" s="3">
        <f>E36*1.15</f>
        <v>17.25</v>
      </c>
      <c r="G36" s="3">
        <f>F36/32.3</f>
        <v>0.5340557275541796</v>
      </c>
    </row>
    <row r="38" spans="1:7" ht="12.75">
      <c r="A38" s="7">
        <v>6</v>
      </c>
      <c r="B38" t="s">
        <v>41</v>
      </c>
      <c r="C38" t="s">
        <v>183</v>
      </c>
      <c r="D38" t="s">
        <v>185</v>
      </c>
      <c r="E38" s="39">
        <v>3</v>
      </c>
      <c r="F38" s="39">
        <f aca="true" t="shared" si="3" ref="F38:F77">E38*1.15</f>
        <v>3.4499999999999997</v>
      </c>
      <c r="G38" s="39" t="s">
        <v>98</v>
      </c>
    </row>
    <row r="39" spans="1:6" ht="12.75">
      <c r="A39" s="7">
        <v>6</v>
      </c>
      <c r="B39" t="s">
        <v>41</v>
      </c>
      <c r="C39" t="s">
        <v>184</v>
      </c>
      <c r="D39" t="s">
        <v>186</v>
      </c>
      <c r="E39" s="3">
        <v>3.72</v>
      </c>
      <c r="F39" s="3">
        <f t="shared" si="3"/>
        <v>4.278</v>
      </c>
    </row>
    <row r="40" spans="1:6" ht="12.75">
      <c r="A40" s="7">
        <v>6</v>
      </c>
      <c r="B40" t="s">
        <v>41</v>
      </c>
      <c r="C40" t="s">
        <v>44</v>
      </c>
      <c r="D40" t="s">
        <v>187</v>
      </c>
      <c r="E40" s="3">
        <v>4.5</v>
      </c>
      <c r="F40" s="3">
        <f t="shared" si="3"/>
        <v>5.175</v>
      </c>
    </row>
    <row r="41" spans="1:6" ht="12.75">
      <c r="A41" s="7">
        <v>6</v>
      </c>
      <c r="B41" t="s">
        <v>41</v>
      </c>
      <c r="C41" t="s">
        <v>42</v>
      </c>
      <c r="D41" t="s">
        <v>43</v>
      </c>
      <c r="E41" s="3">
        <v>5.99</v>
      </c>
      <c r="F41" s="3">
        <f t="shared" si="3"/>
        <v>6.8885</v>
      </c>
    </row>
    <row r="42" spans="1:7" ht="12.75">
      <c r="A42" s="7">
        <v>6</v>
      </c>
      <c r="B42" t="s">
        <v>41</v>
      </c>
      <c r="C42" t="s">
        <v>188</v>
      </c>
      <c r="D42" t="s">
        <v>189</v>
      </c>
      <c r="E42" s="39">
        <v>9.62</v>
      </c>
      <c r="F42" s="39">
        <f t="shared" si="3"/>
        <v>11.062999999999999</v>
      </c>
      <c r="G42" s="39" t="s">
        <v>98</v>
      </c>
    </row>
    <row r="43" spans="1:6" ht="12.75">
      <c r="A43" s="7">
        <v>6</v>
      </c>
      <c r="B43" t="s">
        <v>41</v>
      </c>
      <c r="C43" t="s">
        <v>117</v>
      </c>
      <c r="D43" t="s">
        <v>118</v>
      </c>
      <c r="E43" s="3">
        <v>9.95</v>
      </c>
      <c r="F43" s="3">
        <f t="shared" si="3"/>
        <v>11.442499999999999</v>
      </c>
    </row>
    <row r="44" spans="1:6" ht="12.75">
      <c r="A44" s="7">
        <v>6</v>
      </c>
      <c r="B44" t="s">
        <v>41</v>
      </c>
      <c r="C44" t="s">
        <v>119</v>
      </c>
      <c r="D44" t="s">
        <v>120</v>
      </c>
      <c r="E44" s="3">
        <v>13.25</v>
      </c>
      <c r="F44" s="3">
        <f t="shared" si="3"/>
        <v>15.237499999999999</v>
      </c>
    </row>
    <row r="45" spans="1:7" ht="12.75">
      <c r="A45" s="7">
        <v>6</v>
      </c>
      <c r="B45" t="s">
        <v>41</v>
      </c>
      <c r="C45" t="s">
        <v>101</v>
      </c>
      <c r="D45" t="s">
        <v>103</v>
      </c>
      <c r="E45" s="38">
        <v>18</v>
      </c>
      <c r="F45" s="38">
        <f t="shared" si="3"/>
        <v>20.7</v>
      </c>
      <c r="G45" s="39" t="s">
        <v>98</v>
      </c>
    </row>
    <row r="46" spans="1:7" ht="12.75">
      <c r="A46" s="7">
        <v>6</v>
      </c>
      <c r="B46" t="s">
        <v>41</v>
      </c>
      <c r="C46" t="s">
        <v>121</v>
      </c>
      <c r="D46" t="s">
        <v>122</v>
      </c>
      <c r="G46" s="22"/>
    </row>
    <row r="47" spans="1:7" ht="12.75">
      <c r="A47" s="7">
        <v>6</v>
      </c>
      <c r="B47" t="s">
        <v>41</v>
      </c>
      <c r="C47" t="s">
        <v>123</v>
      </c>
      <c r="D47" t="s">
        <v>124</v>
      </c>
      <c r="E47" s="3">
        <v>16.75</v>
      </c>
      <c r="F47" s="3">
        <f t="shared" si="3"/>
        <v>19.2625</v>
      </c>
      <c r="G47" s="22"/>
    </row>
    <row r="48" spans="1:7" ht="12.75">
      <c r="A48" s="7">
        <v>6</v>
      </c>
      <c r="B48" t="s">
        <v>41</v>
      </c>
      <c r="C48" t="s">
        <v>125</v>
      </c>
      <c r="D48" t="s">
        <v>126</v>
      </c>
      <c r="G48" s="22"/>
    </row>
    <row r="49" spans="1:6" ht="12.75">
      <c r="A49" s="7">
        <v>6</v>
      </c>
      <c r="B49" t="s">
        <v>41</v>
      </c>
      <c r="C49" t="s">
        <v>113</v>
      </c>
      <c r="D49" t="s">
        <v>114</v>
      </c>
      <c r="E49" s="3">
        <v>23.2</v>
      </c>
      <c r="F49" s="3">
        <f t="shared" si="3"/>
        <v>26.679999999999996</v>
      </c>
    </row>
    <row r="50" spans="1:6" ht="12.75">
      <c r="A50" s="7">
        <v>6</v>
      </c>
      <c r="B50" t="s">
        <v>41</v>
      </c>
      <c r="C50" t="s">
        <v>115</v>
      </c>
      <c r="D50" t="s">
        <v>116</v>
      </c>
      <c r="E50" s="3">
        <v>24.28</v>
      </c>
      <c r="F50" s="3">
        <f t="shared" si="3"/>
        <v>27.922</v>
      </c>
    </row>
    <row r="51" spans="1:6" ht="12.75">
      <c r="A51" s="7">
        <v>6</v>
      </c>
      <c r="B51" t="s">
        <v>41</v>
      </c>
      <c r="C51" t="s">
        <v>102</v>
      </c>
      <c r="D51" t="s">
        <v>104</v>
      </c>
      <c r="E51" s="3">
        <v>26.98</v>
      </c>
      <c r="F51" s="3">
        <f t="shared" si="3"/>
        <v>31.026999999999997</v>
      </c>
    </row>
    <row r="52" spans="1:8" ht="12.75">
      <c r="A52" s="7">
        <v>6</v>
      </c>
      <c r="B52" t="s">
        <v>41</v>
      </c>
      <c r="C52" t="s">
        <v>105</v>
      </c>
      <c r="D52" t="s">
        <v>106</v>
      </c>
      <c r="E52" s="3">
        <v>33.98</v>
      </c>
      <c r="F52" s="3">
        <f t="shared" si="3"/>
        <v>39.07699999999999</v>
      </c>
      <c r="H52" s="21"/>
    </row>
    <row r="53" spans="1:6" ht="12.75">
      <c r="A53" s="7">
        <v>6</v>
      </c>
      <c r="B53" t="s">
        <v>41</v>
      </c>
      <c r="C53" t="s">
        <v>107</v>
      </c>
      <c r="D53" t="s">
        <v>108</v>
      </c>
      <c r="E53" s="3">
        <v>42.36</v>
      </c>
      <c r="F53" s="3">
        <f t="shared" si="3"/>
        <v>48.714</v>
      </c>
    </row>
    <row r="54" spans="1:6" ht="12.75">
      <c r="A54" s="7">
        <v>6</v>
      </c>
      <c r="B54" t="s">
        <v>41</v>
      </c>
      <c r="C54" t="s">
        <v>109</v>
      </c>
      <c r="D54" t="s">
        <v>110</v>
      </c>
      <c r="E54" s="3">
        <v>55.29</v>
      </c>
      <c r="F54" s="3">
        <f t="shared" si="3"/>
        <v>63.583499999999994</v>
      </c>
    </row>
    <row r="55" spans="1:6" ht="12.75">
      <c r="A55" s="7">
        <v>6</v>
      </c>
      <c r="B55" t="s">
        <v>41</v>
      </c>
      <c r="C55" t="s">
        <v>111</v>
      </c>
      <c r="D55" t="s">
        <v>112</v>
      </c>
      <c r="E55" s="3">
        <v>67.83</v>
      </c>
      <c r="F55" s="3">
        <f t="shared" si="3"/>
        <v>78.0045</v>
      </c>
    </row>
    <row r="57" spans="1:6" ht="12.75">
      <c r="A57" s="7">
        <v>7</v>
      </c>
      <c r="B57" t="s">
        <v>127</v>
      </c>
      <c r="C57" t="s">
        <v>128</v>
      </c>
      <c r="D57" t="s">
        <v>129</v>
      </c>
      <c r="E57" s="3">
        <v>1263</v>
      </c>
      <c r="F57" s="3">
        <f t="shared" si="3"/>
        <v>1452.4499999999998</v>
      </c>
    </row>
    <row r="59" spans="1:7" ht="12.75">
      <c r="A59" s="7">
        <v>8</v>
      </c>
      <c r="B59" t="s">
        <v>131</v>
      </c>
      <c r="C59" t="s">
        <v>132</v>
      </c>
      <c r="D59" t="s">
        <v>133</v>
      </c>
      <c r="E59" s="3">
        <f>479*1.1</f>
        <v>526.9000000000001</v>
      </c>
      <c r="F59" s="3">
        <f t="shared" si="3"/>
        <v>605.9350000000001</v>
      </c>
      <c r="G59" s="22" t="s">
        <v>134</v>
      </c>
    </row>
    <row r="60" spans="1:7" ht="12.75">
      <c r="A60" s="7">
        <v>8</v>
      </c>
      <c r="B60" t="s">
        <v>131</v>
      </c>
      <c r="C60" t="s">
        <v>135</v>
      </c>
      <c r="D60" t="s">
        <v>136</v>
      </c>
      <c r="E60" s="3">
        <f>698*1.1</f>
        <v>767.8000000000001</v>
      </c>
      <c r="F60" s="3">
        <f t="shared" si="3"/>
        <v>882.97</v>
      </c>
      <c r="G60" s="22" t="s">
        <v>134</v>
      </c>
    </row>
    <row r="61" spans="1:6" ht="12.75">
      <c r="A61" s="7">
        <v>8</v>
      </c>
      <c r="B61" t="s">
        <v>131</v>
      </c>
      <c r="C61" t="s">
        <v>137</v>
      </c>
      <c r="D61" t="s">
        <v>138</v>
      </c>
      <c r="E61" s="3">
        <v>159</v>
      </c>
      <c r="F61" s="3">
        <f t="shared" si="3"/>
        <v>182.85</v>
      </c>
    </row>
    <row r="62" spans="1:6" ht="12.75">
      <c r="A62" s="7">
        <v>8</v>
      </c>
      <c r="B62" t="s">
        <v>131</v>
      </c>
      <c r="C62" t="s">
        <v>139</v>
      </c>
      <c r="D62" t="s">
        <v>140</v>
      </c>
      <c r="E62" s="3">
        <v>199</v>
      </c>
      <c r="F62" s="3">
        <f t="shared" si="3"/>
        <v>228.85</v>
      </c>
    </row>
    <row r="63" spans="1:6" ht="12.75">
      <c r="A63" s="7">
        <v>8</v>
      </c>
      <c r="B63" t="s">
        <v>131</v>
      </c>
      <c r="C63" t="s">
        <v>141</v>
      </c>
      <c r="E63" s="3">
        <v>190</v>
      </c>
      <c r="F63" s="3">
        <f t="shared" si="3"/>
        <v>218.49999999999997</v>
      </c>
    </row>
    <row r="65" spans="1:7" ht="12.75">
      <c r="A65" s="7">
        <v>9</v>
      </c>
      <c r="B65" t="s">
        <v>95</v>
      </c>
      <c r="C65" t="s">
        <v>192</v>
      </c>
      <c r="D65" t="s">
        <v>142</v>
      </c>
      <c r="E65" s="3">
        <f>107*1.1</f>
        <v>117.7</v>
      </c>
      <c r="F65" s="3">
        <f t="shared" si="3"/>
        <v>135.355</v>
      </c>
      <c r="G65" s="22" t="s">
        <v>134</v>
      </c>
    </row>
    <row r="66" spans="1:7" ht="12.75">
      <c r="A66" s="7">
        <v>9</v>
      </c>
      <c r="B66" t="s">
        <v>95</v>
      </c>
      <c r="C66" t="s">
        <v>193</v>
      </c>
      <c r="D66" t="s">
        <v>143</v>
      </c>
      <c r="E66" s="3">
        <f>128*1.1</f>
        <v>140.8</v>
      </c>
      <c r="F66" s="3">
        <f t="shared" si="3"/>
        <v>161.92</v>
      </c>
      <c r="G66" s="22" t="s">
        <v>134</v>
      </c>
    </row>
    <row r="67" spans="1:7" ht="12.75">
      <c r="A67" s="7">
        <v>9</v>
      </c>
      <c r="B67" t="s">
        <v>95</v>
      </c>
      <c r="C67" t="s">
        <v>194</v>
      </c>
      <c r="D67" t="s">
        <v>144</v>
      </c>
      <c r="E67" s="3">
        <f>145*1.1</f>
        <v>159.5</v>
      </c>
      <c r="F67" s="3">
        <f t="shared" si="3"/>
        <v>183.42499999999998</v>
      </c>
      <c r="G67" s="22" t="s">
        <v>134</v>
      </c>
    </row>
    <row r="68" spans="1:7" ht="12.75">
      <c r="A68" s="7">
        <v>9</v>
      </c>
      <c r="B68" t="s">
        <v>95</v>
      </c>
      <c r="C68" t="s">
        <v>195</v>
      </c>
      <c r="D68" t="s">
        <v>145</v>
      </c>
      <c r="E68" s="3">
        <f>169*1.1</f>
        <v>185.9</v>
      </c>
      <c r="F68" s="3">
        <f t="shared" si="3"/>
        <v>213.785</v>
      </c>
      <c r="G68" s="22" t="s">
        <v>134</v>
      </c>
    </row>
    <row r="69" spans="1:7" ht="12.75">
      <c r="A69" s="7">
        <v>9</v>
      </c>
      <c r="B69" t="s">
        <v>95</v>
      </c>
      <c r="C69" t="s">
        <v>196</v>
      </c>
      <c r="D69" t="s">
        <v>146</v>
      </c>
      <c r="E69" s="3">
        <f>185*1.1</f>
        <v>203.50000000000003</v>
      </c>
      <c r="F69" s="3">
        <f t="shared" si="3"/>
        <v>234.025</v>
      </c>
      <c r="G69" s="22" t="s">
        <v>134</v>
      </c>
    </row>
    <row r="70" spans="1:7" ht="12.75">
      <c r="A70" s="7">
        <v>9</v>
      </c>
      <c r="B70" t="s">
        <v>95</v>
      </c>
      <c r="C70" t="s">
        <v>197</v>
      </c>
      <c r="D70" t="s">
        <v>147</v>
      </c>
      <c r="E70" s="3">
        <f>192*1.1</f>
        <v>211.20000000000002</v>
      </c>
      <c r="F70" s="3">
        <f t="shared" si="3"/>
        <v>242.88</v>
      </c>
      <c r="G70" s="22" t="s">
        <v>134</v>
      </c>
    </row>
    <row r="71" spans="1:7" ht="12.75">
      <c r="A71" s="7">
        <v>9</v>
      </c>
      <c r="B71" t="s">
        <v>95</v>
      </c>
      <c r="C71" t="s">
        <v>198</v>
      </c>
      <c r="D71" t="s">
        <v>154</v>
      </c>
      <c r="E71" s="3">
        <f>237*1.1</f>
        <v>260.70000000000005</v>
      </c>
      <c r="F71" s="3">
        <f t="shared" si="3"/>
        <v>299.805</v>
      </c>
      <c r="G71" s="22" t="s">
        <v>134</v>
      </c>
    </row>
    <row r="72" spans="1:7" ht="12.75">
      <c r="A72" s="7">
        <v>9</v>
      </c>
      <c r="B72" t="s">
        <v>95</v>
      </c>
      <c r="C72" t="s">
        <v>199</v>
      </c>
      <c r="D72" t="s">
        <v>148</v>
      </c>
      <c r="E72" s="3">
        <f>162*1.1</f>
        <v>178.20000000000002</v>
      </c>
      <c r="F72" s="3">
        <f t="shared" si="3"/>
        <v>204.93</v>
      </c>
      <c r="G72" s="22" t="s">
        <v>134</v>
      </c>
    </row>
    <row r="73" spans="1:7" ht="12.75">
      <c r="A73" s="7">
        <v>9</v>
      </c>
      <c r="B73" t="s">
        <v>95</v>
      </c>
      <c r="C73" t="s">
        <v>200</v>
      </c>
      <c r="D73" t="s">
        <v>149</v>
      </c>
      <c r="E73" s="3">
        <f>175*1.1</f>
        <v>192.50000000000003</v>
      </c>
      <c r="F73" s="3">
        <f t="shared" si="3"/>
        <v>221.37500000000003</v>
      </c>
      <c r="G73" s="22" t="s">
        <v>134</v>
      </c>
    </row>
    <row r="74" spans="1:7" ht="12.75">
      <c r="A74" s="7">
        <v>9</v>
      </c>
      <c r="B74" t="s">
        <v>95</v>
      </c>
      <c r="C74" t="s">
        <v>201</v>
      </c>
      <c r="D74" t="s">
        <v>150</v>
      </c>
      <c r="E74" s="3">
        <f>199*1.1</f>
        <v>218.9</v>
      </c>
      <c r="F74" s="3">
        <f t="shared" si="3"/>
        <v>251.73499999999999</v>
      </c>
      <c r="G74" s="22" t="s">
        <v>134</v>
      </c>
    </row>
    <row r="75" spans="1:7" ht="12.75">
      <c r="A75" s="7">
        <v>9</v>
      </c>
      <c r="B75" t="s">
        <v>95</v>
      </c>
      <c r="C75" t="s">
        <v>202</v>
      </c>
      <c r="D75" t="s">
        <v>151</v>
      </c>
      <c r="E75" s="3">
        <f>219*1.1</f>
        <v>240.9</v>
      </c>
      <c r="F75" s="3">
        <f t="shared" si="3"/>
        <v>277.03499999999997</v>
      </c>
      <c r="G75" s="22" t="s">
        <v>134</v>
      </c>
    </row>
    <row r="76" spans="1:7" ht="12.75">
      <c r="A76" s="7">
        <v>9</v>
      </c>
      <c r="B76" t="s">
        <v>95</v>
      </c>
      <c r="C76" t="s">
        <v>203</v>
      </c>
      <c r="D76" t="s">
        <v>152</v>
      </c>
      <c r="E76" s="3">
        <f>280*1.1</f>
        <v>308</v>
      </c>
      <c r="F76" s="3">
        <f t="shared" si="3"/>
        <v>354.2</v>
      </c>
      <c r="G76" s="22" t="s">
        <v>134</v>
      </c>
    </row>
    <row r="77" spans="1:7" ht="12.75">
      <c r="A77" s="7">
        <v>9</v>
      </c>
      <c r="B77" t="s">
        <v>95</v>
      </c>
      <c r="C77" t="s">
        <v>204</v>
      </c>
      <c r="D77" t="s">
        <v>153</v>
      </c>
      <c r="E77" s="3">
        <f>298*1.1</f>
        <v>327.8</v>
      </c>
      <c r="F77" s="3">
        <f t="shared" si="3"/>
        <v>376.96999999999997</v>
      </c>
      <c r="G77" s="22" t="s">
        <v>134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cols>
    <col min="2" max="2" width="9.140625" style="32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batwings</dc:creator>
  <cp:keywords/>
  <dc:description/>
  <cp:lastModifiedBy>John Raabe</cp:lastModifiedBy>
  <dcterms:created xsi:type="dcterms:W3CDTF">2003-01-04T22:27:57Z</dcterms:created>
  <dcterms:modified xsi:type="dcterms:W3CDTF">2003-02-06T17:14:01Z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